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Новая" sheetId="4" r:id="rId1"/>
    <sheet name="Старая" sheetId="1" r:id="rId2"/>
    <sheet name="Лист3" sheetId="3" r:id="rId3"/>
  </sheets>
  <externalReferences>
    <externalReference r:id="rId4"/>
  </externalReferences>
  <definedNames>
    <definedName name="_xlnm.Print_Area" localSheetId="0">Новая!$A$1:$L$36</definedName>
    <definedName name="_xlnm.Print_Area" localSheetId="1">Старая!$A$1:$L$33</definedName>
  </definedNames>
  <calcPr calcId="162913"/>
</workbook>
</file>

<file path=xl/calcChain.xml><?xml version="1.0" encoding="utf-8"?>
<calcChain xmlns="http://schemas.openxmlformats.org/spreadsheetml/2006/main">
  <c r="K33" i="4" l="1"/>
  <c r="L33" i="4"/>
  <c r="J33" i="4"/>
  <c r="I17" i="4"/>
  <c r="I16" i="4"/>
  <c r="I15" i="4"/>
  <c r="I14" i="4"/>
  <c r="I13" i="4"/>
  <c r="I12" i="4"/>
  <c r="K32" i="4"/>
  <c r="L32" i="4" s="1"/>
  <c r="L31" i="4"/>
  <c r="J30" i="4"/>
  <c r="L30" i="4" s="1"/>
  <c r="K29" i="4"/>
  <c r="L29" i="4" s="1"/>
  <c r="L28" i="4"/>
  <c r="L27" i="4"/>
  <c r="L25" i="4"/>
  <c r="L23" i="4"/>
  <c r="L21" i="4"/>
  <c r="J21" i="4"/>
  <c r="J19" i="4"/>
  <c r="L19" i="4" s="1"/>
  <c r="L17" i="4"/>
  <c r="J17" i="4"/>
  <c r="J16" i="4"/>
  <c r="L16" i="4" s="1"/>
  <c r="L15" i="4"/>
  <c r="L13" i="4"/>
  <c r="L12" i="4"/>
  <c r="L11" i="4"/>
  <c r="L10" i="4"/>
  <c r="J10" i="4"/>
  <c r="J9" i="4"/>
  <c r="L9" i="4" s="1"/>
  <c r="L8" i="4"/>
  <c r="J8" i="4"/>
  <c r="J7" i="4"/>
  <c r="L7" i="4" s="1"/>
  <c r="H33" i="4" l="1"/>
  <c r="I33" i="4"/>
  <c r="G33" i="4"/>
  <c r="L11" i="1"/>
  <c r="L21" i="1"/>
  <c r="L23" i="1"/>
  <c r="L25" i="1"/>
  <c r="L27" i="1"/>
  <c r="L28" i="1"/>
  <c r="L29" i="1"/>
  <c r="K12" i="1" l="1"/>
  <c r="L12" i="1" s="1"/>
  <c r="K15" i="1"/>
  <c r="L15" i="1" s="1"/>
  <c r="J19" i="1" l="1"/>
  <c r="L19" i="1" s="1"/>
  <c r="J17" i="1"/>
  <c r="L17" i="1" s="1"/>
  <c r="G17" i="1"/>
  <c r="I17" i="1" s="1"/>
  <c r="J16" i="1"/>
  <c r="L16" i="1" s="1"/>
  <c r="G16" i="1"/>
  <c r="I16" i="1" s="1"/>
  <c r="I15" i="1"/>
  <c r="H14" i="1"/>
  <c r="I14" i="1" s="1"/>
  <c r="E14" i="1"/>
  <c r="K13" i="1"/>
  <c r="L13" i="1" s="1"/>
  <c r="H13" i="1"/>
  <c r="I13" i="1" s="1"/>
  <c r="H12" i="1"/>
  <c r="J10" i="1"/>
  <c r="L10" i="1" s="1"/>
  <c r="I10" i="1"/>
  <c r="J9" i="1"/>
  <c r="L9" i="1" s="1"/>
  <c r="I9" i="1"/>
  <c r="J8" i="1"/>
  <c r="L8" i="1" s="1"/>
  <c r="I8" i="1"/>
  <c r="J7" i="1"/>
  <c r="L7" i="1" s="1"/>
  <c r="G7" i="1"/>
  <c r="L30" i="1" l="1"/>
  <c r="G30" i="1"/>
  <c r="I7" i="1"/>
  <c r="H30" i="1"/>
  <c r="K30" i="1"/>
  <c r="I12" i="1"/>
  <c r="J30" i="1"/>
  <c r="I30" i="1" l="1"/>
</calcChain>
</file>

<file path=xl/comments1.xml><?xml version="1.0" encoding="utf-8"?>
<comments xmlns="http://schemas.openxmlformats.org/spreadsheetml/2006/main">
  <authors>
    <author>Автор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ППТ,Геология,геодезия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ППТ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проектные 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4420 , по спецификации ПЭ 4343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8966,92
ССР 12716,78292 т.р. Без НДС 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газопровод без ШРП +без дороги+ стройкотроль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ШРП, обвязка шрп, переход через дорогу,(газопровод все что за дорогой на стороне ШРП)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газопровод + стройконтроль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геодез+геолог+ ПИР 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геодез+геолог+ ПИР 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пир  ппт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геодезия,геология,пир,ППТ,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ППТ,Геология,геодезия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геодезия,геология,пир,ППТ,Р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геодезия,геология,пир,ППТ,Р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ППТ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проектные 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4420 , по спецификации ПЭ 4343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8966,92
ССР 12716,78292 т.р. Без НДС 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газопровод без ШРП +без дороги+ стройкотроль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ШРП, обвязка шрп, переход через дорогу,(газопровод все что за дорогой на стороне ШРП)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газопровод + стройконтроль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геодез+геолог+ ПИР + ППТ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геодез+геолог+ ПИР + ППТ</t>
        </r>
      </text>
    </comment>
  </commentList>
</comments>
</file>

<file path=xl/sharedStrings.xml><?xml version="1.0" encoding="utf-8"?>
<sst xmlns="http://schemas.openxmlformats.org/spreadsheetml/2006/main" count="253" uniqueCount="104">
  <si>
    <t>№ п/п</t>
  </si>
  <si>
    <t>Наименование и адрес объекта</t>
  </si>
  <si>
    <t>Основные технические характеристики</t>
  </si>
  <si>
    <t>сметная стоимость объекта</t>
  </si>
  <si>
    <t>Стоимость (тыс.рублей)</t>
  </si>
  <si>
    <t>диаметр, мм</t>
  </si>
  <si>
    <t>ед.    изм.</t>
  </si>
  <si>
    <t>количество</t>
  </si>
  <si>
    <t>СМР на 2020 год</t>
  </si>
  <si>
    <t xml:space="preserve"> итого за 2020 год</t>
  </si>
  <si>
    <t>ПИР  на 2021год</t>
  </si>
  <si>
    <t>СМР на 2021 год</t>
  </si>
  <si>
    <t xml:space="preserve"> итого за 2021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</si>
  <si>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</si>
  <si>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</si>
  <si>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</si>
  <si>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</si>
  <si>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</si>
  <si>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</si>
  <si>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</si>
  <si>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</si>
  <si>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</si>
  <si>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</si>
  <si>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</si>
  <si>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</si>
  <si>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</si>
  <si>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</si>
  <si>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</si>
  <si>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</si>
  <si>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</si>
  <si>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 xml:space="preserve">Газопровод  высокого и низкого давлений с установкой ПРГ   в южной части а. Али-Бердуковский, Хабезского района Карачаево-Черкесской Республики </t>
  </si>
  <si>
    <t>ПЭ 225; ПЭ 160; ПЭ110; ПЭ90; ПЭ63;  ПРГ</t>
  </si>
  <si>
    <t>м</t>
  </si>
  <si>
    <t>2</t>
  </si>
  <si>
    <t xml:space="preserve">Газопровод  среднего и низкого давлений с установкой ПРГ №3  в северной части г. Усть-Джегута, Карачаево-Черкесской Республики </t>
  </si>
  <si>
    <t>ПЭ 225; ПЭ 160; ПЭ110; ПЭ90; ПЭ63;   ПРГ</t>
  </si>
  <si>
    <t>3</t>
  </si>
  <si>
    <t xml:space="preserve">Газопровод среднего и  низкого давления с установкой ПРГ по ул. Привольная, пер. Летний в п.Кавказский Прикубанского района, Карачаево-Черкесской Республики </t>
  </si>
  <si>
    <t>ПЭ 225; ПЭ 160; ПЭ90; ПРГ</t>
  </si>
  <si>
    <t>4</t>
  </si>
  <si>
    <t xml:space="preserve">Газопровод высокого, среднего и низкого давления с установкой ПРГ  с.Знаменка, Прикубанского района, Карачаево-Черкесской Республики </t>
  </si>
  <si>
    <t>ПЭ 225; ПЭ 160; ПЭ110; ПЭ90; ПЭ63;  2 ПРГ</t>
  </si>
  <si>
    <t>5</t>
  </si>
  <si>
    <t>Газопровод среднего и низкого давления с установкой ПРГ № 1 с. Хуса-Кардоник, Зеленчукского района, Карачаево-Черкесской Республики.</t>
  </si>
  <si>
    <t>ПЭ 225; ПЭ 160; ПЭ110; ПЭ90; ПЭ63; ПРГ</t>
  </si>
  <si>
    <t>6</t>
  </si>
  <si>
    <t>Газопровод среднего и низкого давления в с. Римгорское, Малокарачаевского района, Карачаево-Черкесской Республики</t>
  </si>
  <si>
    <t xml:space="preserve"> ПЭ 160; ПЭ110;ПЭ 90; ПЭ63;</t>
  </si>
  <si>
    <t>Газопровод среднего и низкого давления с установкой ШРП № 1 х. Фроловский, Зеленчукского района, Карачаево-Черкесской Республики.</t>
  </si>
  <si>
    <t xml:space="preserve"> ПЭ 160;ПЭ 90; ПЭ63; ПРГ</t>
  </si>
  <si>
    <t>Газопровод низкого давления  по ул. Степной, ул.Республиканской  г.Черкесск ,Карачаево-Черкесской Республики</t>
  </si>
  <si>
    <t xml:space="preserve">ПЭ 225; ПЭ 160;  ПЭ90 </t>
  </si>
  <si>
    <t>Газопроводы низкого давления в с. Красный Курган, Малокарачаевского района</t>
  </si>
  <si>
    <t>ПЭ 280;ПЭ 250;ПЭ 225;ПЭ 160; ПЭ110; ПЭ 90; ПЭ63; ПЭ32; ПРГ</t>
  </si>
  <si>
    <t>Газопроводы низкого давления в с. Терезе, Малокарачаевского района</t>
  </si>
  <si>
    <t>Газопроводы низкого давления в с. Первомайское, Малокарачаевского района</t>
  </si>
  <si>
    <t>Газопровод среднего и низкого давления с установкой ПРГ № 1 с.Уруп, Урупского района, Карачаево-Черкесской Республики.</t>
  </si>
  <si>
    <t>ПЭ 225; ПЭ 160; ПЭ110;ПЭ 90; ПЭ63; 3ПРГ</t>
  </si>
  <si>
    <t>Газопровод низкого давления в с. Учкекен, Малокарачаевского района, Карачаево-Черкесской Республики</t>
  </si>
  <si>
    <t xml:space="preserve">Газопровод среднего и низкого давления с установкой ШРП № 1 с. Лесо-Кяфарь, Зеленчукского района, Карачаево-Черкесской Республики. </t>
  </si>
  <si>
    <t>ПЭ 225; ПЭ 160; ПЭ110;ПЭ 90; ПЭ63;ПРГ</t>
  </si>
  <si>
    <t xml:space="preserve">Газопровод среднего и низкого давления а. Верхняя Теберда  Карачаевского района, Карачаево-Черкесской Республики  </t>
  </si>
  <si>
    <t>ПЭ 225; ПЭ 160; ПЭ110;ПЭ 90; ПЭ63;2ПРГ</t>
  </si>
  <si>
    <t>Газопровод  низкого давления  х.Большевик, Урупского района, Карачаево-Черкесской Республики</t>
  </si>
  <si>
    <t>ПЭ 225; ПЭ 160; ПЭ110; ПЭ63;</t>
  </si>
  <si>
    <t>Газопровод низкого давления п. Коммунстрой  Малокарачаевского района, Карачаево-Черкесской Республики</t>
  </si>
  <si>
    <t xml:space="preserve"> ПЭ 160; ПЭ110; ПЭ63;</t>
  </si>
  <si>
    <t>Газопровод низкого давления по ул. Рыночная, в г. Черкесске, Карачаево-Черкесской Республики</t>
  </si>
  <si>
    <t xml:space="preserve"> ПЭ 160; ПЭ110 ПЭ 90;</t>
  </si>
  <si>
    <t xml:space="preserve">Газопровод низкого давления от  ПРГ №5 ст.Преградная, Урупского  района, Карачаево-Черкесской Республики </t>
  </si>
  <si>
    <t>ПЭ 225; ПЭ 160; ПЭ110; ПЭ63</t>
  </si>
  <si>
    <t xml:space="preserve">Газопровод высокого, среднего и низкого давления с установкой ПРГ г.Черкесск, Карачаево-Черкесской Республики </t>
  </si>
  <si>
    <t xml:space="preserve">Газопроводы  низкого давления в ст. Исправная, Зеленчукского района. </t>
  </si>
  <si>
    <t xml:space="preserve"> ПЭ110; ПЭ 90; ПЭ63</t>
  </si>
  <si>
    <t xml:space="preserve">Газопроводы  низкого давления от ШРП №7 в ст. Преградная, Урупского района. </t>
  </si>
  <si>
    <t>23</t>
  </si>
  <si>
    <t xml:space="preserve">Газопровод высокого и низкого давления с установкой ШРП  по ул.Садовой, п.Кубрань, Карачаевского района, Карачаево-Черкесской Республики. </t>
  </si>
  <si>
    <t>ПЭ 160;ПЭ 110;ПЭ90;</t>
  </si>
  <si>
    <t>ИТОГО без НДС</t>
  </si>
  <si>
    <t>4,458,27</t>
  </si>
  <si>
    <t>Г.В. Терин</t>
  </si>
  <si>
    <t xml:space="preserve">Заместитель  Министра строительства и ЖКХ КЧР                             </t>
  </si>
  <si>
    <t>Приложение 1 к Региональной программе газификации Карачаево-Черкесской Республики на 2017-2021 годы</t>
  </si>
  <si>
    <t>Мероприятия по  газификации  объектов, осуществляемые  за счет  средств  спецнадбавки к тарифу на услуги  по транспортировке газа по газораспределительным сетям АО "Газпром газораспределение Черкесск"  на 2020-2021 гг.</t>
  </si>
  <si>
    <t>ПИР  на 2020 год</t>
  </si>
  <si>
    <t xml:space="preserve">Заместитель Руководителя Администрации Главы и Правительства КЧР, Начальник Управления документационного обеспечения Главы и Правительства КЧР </t>
  </si>
  <si>
    <t>Ф.Я. Астежева</t>
  </si>
  <si>
    <t>24</t>
  </si>
  <si>
    <t>25</t>
  </si>
  <si>
    <t xml:space="preserve">Газопровод среднего и низкого давления в  а. Нижняя Теберда,  Карачаевского района, Карачаево-Черкесской Республики.  </t>
  </si>
  <si>
    <t xml:space="preserve"> ПЭ110</t>
  </si>
  <si>
    <t>26</t>
  </si>
  <si>
    <t>ПЭ 280</t>
  </si>
  <si>
    <t>ед. изм.</t>
  </si>
  <si>
    <t xml:space="preserve">Газопровод среднего и  низкого давления с установкой ПРГ по ул. Привольная, пер. Летний в п. Кавказский Прикубанского района, Карачаево-Черкесской Республики </t>
  </si>
  <si>
    <t xml:space="preserve">Газопровод высокого, среднего и низкого давления с установкой ПРГ  с. Знаменка, Прикубанского района, Карачаево-Черкесской Республики </t>
  </si>
  <si>
    <t>Газопровод среднего и низкого давления с установкой ПРГ № 1 с. Уруп, Урупского района, Карачаево-Черкесской Республики.</t>
  </si>
  <si>
    <t>Газопровод  низкого давления  х. Большевик, Урупского района, Карачаево-Черкесской Республики</t>
  </si>
  <si>
    <t xml:space="preserve">Газопровод низкого давления от  ПРГ №5 ст. Преградная, Урупского  района, Карачаево-Черкесской Республики </t>
  </si>
  <si>
    <t xml:space="preserve">Газопровод высокого, среднего и низкого давления с установкой ПРГ г. Черкесск, Карачаево-Черкесской Республики </t>
  </si>
  <si>
    <t xml:space="preserve">Газопровод высокого и низкого давления с установкой ШРП  по ул. Садовой, п. Кубрань, Карачаевского района, Карачаево-Черкесской Республики. </t>
  </si>
  <si>
    <t xml:space="preserve">Газопровод среднего и низкого давления с установкой ПРГ г. Теберда, Карачаевского городского округа, Карачаево-Черкесской Республики. </t>
  </si>
  <si>
    <t xml:space="preserve">Газопровод высокого давления от ст. Зеленчукская до ГРС Зеленчукская-2  Зеленчукского района, Карачаево-Черкесской Республики.  </t>
  </si>
  <si>
    <t>Газопровод низкого давления  по ул. Степной, ул. Республиканской  г. Черкесск, Карачаево-Черкесской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</si>
</sst>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/>
    <xf numFmtId="0" fontId="0" fillId="2" borderId="0" xfId="0" applyFill="1"/>
    <xf numFmtId="4" fontId="1" fillId="2" borderId="0" xfId="0" applyNumberFormat="1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9" fontId="1" fillId="2" borderId="0" xfId="0" applyNumberFormat="1" applyFont="1" applyFill="1"/>
    <xf numFmtId="0" fontId="1" fillId="2" borderId="0" xfId="0" applyFont="1" applyFill="1" applyBorder="1"/>
    <xf numFmtId="49" fontId="3" fillId="2" borderId="7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/>
    <xf numFmtId="4" fontId="1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/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931303/Desktop/2021%20&#1075;/&#1048;&#1055;%202021/30,09,2020%20%20&#1048;&#1055;%20&#1085;&#1072;%202021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Р 2021 "/>
      <sheetName val="ПИР 2021 "/>
      <sheetName val="Оборудование 2021 "/>
      <sheetName val="Спецнадбавка"/>
      <sheetName val="Фроловский"/>
      <sheetName val="на всякий случай  по Рим."/>
      <sheetName val="Исправная "/>
      <sheetName val="Преградная "/>
    </sheetNames>
    <sheetDataSet>
      <sheetData sheetId="0"/>
      <sheetData sheetId="1"/>
      <sheetData sheetId="2"/>
      <sheetData sheetId="3"/>
      <sheetData sheetId="4"/>
      <sheetData sheetId="5">
        <row r="19">
          <cell r="C19">
            <v>1945823.7291409415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6"/>
  <sheetViews>
    <sheetView tabSelected="1" view="pageBreakPreview" zoomScale="71" zoomScaleNormal="71" zoomScaleSheetLayoutView="7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defaultRowHeight="18.75" x14ac:dyDescent="0.3"/>
  <cols>
    <col min="1" max="1" width="6.28515625" style="19" customWidth="1"/>
    <col min="2" max="2" width="99.85546875" style="20" customWidth="1"/>
    <col min="3" max="3" width="37" style="3" customWidth="1"/>
    <col min="4" max="4" width="13.5703125" style="3" customWidth="1"/>
    <col min="5" max="5" width="16.42578125" style="3" customWidth="1"/>
    <col min="6" max="6" width="19.28515625" style="3" customWidth="1"/>
    <col min="7" max="15" width="15.7109375" style="3" customWidth="1"/>
    <col min="16" max="16384" width="9.140625" style="4"/>
  </cols>
  <sheetData>
    <row r="1" spans="1:15" ht="63" customHeight="1" x14ac:dyDescent="0.3">
      <c r="A1" s="1"/>
      <c r="B1" s="1"/>
      <c r="C1" s="35"/>
      <c r="D1" s="35"/>
      <c r="E1" s="35"/>
      <c r="F1" s="35"/>
      <c r="G1" s="35"/>
      <c r="H1" s="35"/>
      <c r="I1" s="46" t="s">
        <v>82</v>
      </c>
      <c r="J1" s="46"/>
      <c r="K1" s="46"/>
      <c r="L1" s="46"/>
      <c r="M1" s="1"/>
      <c r="N1" s="1"/>
      <c r="O1" s="1"/>
    </row>
    <row r="2" spans="1:15" ht="67.5" customHeight="1" x14ac:dyDescent="0.3">
      <c r="A2" s="1"/>
      <c r="B2" s="47" t="s">
        <v>83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32"/>
      <c r="N2" s="32"/>
      <c r="O2" s="32"/>
    </row>
    <row r="3" spans="1:15" ht="18.75" customHeight="1" x14ac:dyDescent="0.3">
      <c r="A3" s="52" t="s">
        <v>0</v>
      </c>
      <c r="B3" s="55" t="s">
        <v>1</v>
      </c>
      <c r="C3" s="58" t="s">
        <v>2</v>
      </c>
      <c r="D3" s="59"/>
      <c r="E3" s="60"/>
      <c r="F3" s="51" t="s">
        <v>3</v>
      </c>
      <c r="G3" s="48">
        <v>2020</v>
      </c>
      <c r="H3" s="49"/>
      <c r="I3" s="50"/>
      <c r="J3" s="48">
        <v>2021</v>
      </c>
      <c r="K3" s="49"/>
      <c r="L3" s="50"/>
      <c r="M3" s="31"/>
      <c r="N3" s="31"/>
      <c r="O3" s="31"/>
    </row>
    <row r="4" spans="1:15" ht="18.75" customHeight="1" x14ac:dyDescent="0.25">
      <c r="A4" s="53"/>
      <c r="B4" s="56"/>
      <c r="C4" s="61"/>
      <c r="D4" s="62"/>
      <c r="E4" s="63"/>
      <c r="F4" s="51"/>
      <c r="G4" s="51" t="s">
        <v>4</v>
      </c>
      <c r="H4" s="51"/>
      <c r="I4" s="51"/>
      <c r="J4" s="51" t="s">
        <v>4</v>
      </c>
      <c r="K4" s="51"/>
      <c r="L4" s="51"/>
      <c r="M4" s="31"/>
      <c r="N4" s="31"/>
      <c r="O4" s="31"/>
    </row>
    <row r="5" spans="1:15" ht="37.5" x14ac:dyDescent="0.25">
      <c r="A5" s="54"/>
      <c r="B5" s="57"/>
      <c r="C5" s="36" t="s">
        <v>5</v>
      </c>
      <c r="D5" s="36" t="s">
        <v>93</v>
      </c>
      <c r="E5" s="7" t="s">
        <v>7</v>
      </c>
      <c r="F5" s="51"/>
      <c r="G5" s="36" t="s">
        <v>84</v>
      </c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31"/>
      <c r="N5" s="31"/>
      <c r="O5" s="31"/>
    </row>
    <row r="6" spans="1:1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 t="s">
        <v>14</v>
      </c>
      <c r="H6" s="8" t="s">
        <v>15</v>
      </c>
      <c r="I6" s="8" t="s">
        <v>16</v>
      </c>
      <c r="J6" s="8" t="s">
        <v>19</v>
      </c>
      <c r="K6" s="8" t="s">
        <v>20</v>
      </c>
      <c r="L6" s="8" t="s">
        <v>21</v>
      </c>
      <c r="M6" s="4"/>
      <c r="N6" s="4"/>
      <c r="O6" s="4"/>
    </row>
    <row r="7" spans="1:15" ht="56.25" x14ac:dyDescent="0.25">
      <c r="A7" s="8" t="s">
        <v>29</v>
      </c>
      <c r="B7" s="14" t="s">
        <v>30</v>
      </c>
      <c r="C7" s="8" t="s">
        <v>31</v>
      </c>
      <c r="D7" s="9" t="s">
        <v>32</v>
      </c>
      <c r="E7" s="10">
        <v>1500</v>
      </c>
      <c r="F7" s="11">
        <v>5250</v>
      </c>
      <c r="G7" s="13"/>
      <c r="H7" s="13"/>
      <c r="I7" s="13"/>
      <c r="J7" s="13">
        <f>319.53+130.02+1028.308*0.601524</f>
        <v>1068.1019413919998</v>
      </c>
      <c r="K7" s="13"/>
      <c r="L7" s="13">
        <f t="shared" ref="L7:L17" si="0">J7+K7</f>
        <v>1068.1019413919998</v>
      </c>
      <c r="M7" s="4"/>
      <c r="N7" s="4"/>
      <c r="O7" s="4"/>
    </row>
    <row r="8" spans="1:15" ht="37.5" x14ac:dyDescent="0.25">
      <c r="A8" s="8" t="s">
        <v>33</v>
      </c>
      <c r="B8" s="14" t="s">
        <v>34</v>
      </c>
      <c r="C8" s="8" t="s">
        <v>35</v>
      </c>
      <c r="D8" s="8" t="s">
        <v>32</v>
      </c>
      <c r="E8" s="10">
        <v>1500</v>
      </c>
      <c r="F8" s="11">
        <v>5250</v>
      </c>
      <c r="G8" s="13"/>
      <c r="H8" s="13"/>
      <c r="I8" s="13"/>
      <c r="J8" s="13">
        <f>276.8+108.57+1028.308*0.601524</f>
        <v>1003.9219413919999</v>
      </c>
      <c r="K8" s="13"/>
      <c r="L8" s="13">
        <f t="shared" si="0"/>
        <v>1003.9219413919999</v>
      </c>
      <c r="M8" s="4"/>
      <c r="N8" s="4"/>
      <c r="O8" s="4"/>
    </row>
    <row r="9" spans="1:15" ht="56.25" x14ac:dyDescent="0.25">
      <c r="A9" s="8" t="s">
        <v>36</v>
      </c>
      <c r="B9" s="14" t="s">
        <v>94</v>
      </c>
      <c r="C9" s="8" t="s">
        <v>38</v>
      </c>
      <c r="D9" s="8" t="s">
        <v>32</v>
      </c>
      <c r="E9" s="10">
        <v>700</v>
      </c>
      <c r="F9" s="11">
        <v>2450</v>
      </c>
      <c r="G9" s="13"/>
      <c r="H9" s="13"/>
      <c r="I9" s="13"/>
      <c r="J9" s="13">
        <f>121.92+82.99+758.86*0.601524</f>
        <v>661.38250263999998</v>
      </c>
      <c r="K9" s="13"/>
      <c r="L9" s="13">
        <f t="shared" si="0"/>
        <v>661.38250263999998</v>
      </c>
      <c r="M9" s="4"/>
      <c r="N9" s="4"/>
      <c r="O9" s="4"/>
    </row>
    <row r="10" spans="1:15" ht="37.5" x14ac:dyDescent="0.25">
      <c r="A10" s="8" t="s">
        <v>39</v>
      </c>
      <c r="B10" s="21" t="s">
        <v>95</v>
      </c>
      <c r="C10" s="8" t="s">
        <v>41</v>
      </c>
      <c r="D10" s="8" t="s">
        <v>32</v>
      </c>
      <c r="E10" s="10">
        <v>1500</v>
      </c>
      <c r="F10" s="11">
        <v>5265.6278281600007</v>
      </c>
      <c r="G10" s="13"/>
      <c r="H10" s="13"/>
      <c r="I10" s="13"/>
      <c r="J10" s="13">
        <f>262.03+108.57+1028.308*0.60152</f>
        <v>989.14782816000002</v>
      </c>
      <c r="K10" s="13"/>
      <c r="L10" s="13">
        <f t="shared" si="0"/>
        <v>989.14782816000002</v>
      </c>
      <c r="M10" s="4"/>
      <c r="N10" s="4"/>
      <c r="O10" s="4"/>
    </row>
    <row r="11" spans="1:15" ht="37.5" x14ac:dyDescent="0.25">
      <c r="A11" s="8" t="s">
        <v>42</v>
      </c>
      <c r="B11" s="14" t="s">
        <v>43</v>
      </c>
      <c r="C11" s="8" t="s">
        <v>44</v>
      </c>
      <c r="D11" s="8" t="s">
        <v>32</v>
      </c>
      <c r="E11" s="10">
        <v>3000</v>
      </c>
      <c r="F11" s="13">
        <v>4267.57</v>
      </c>
      <c r="G11" s="13"/>
      <c r="H11" s="13"/>
      <c r="I11" s="13"/>
      <c r="J11" s="13">
        <v>813.28</v>
      </c>
      <c r="K11" s="13"/>
      <c r="L11" s="13">
        <f t="shared" si="0"/>
        <v>813.28</v>
      </c>
      <c r="M11" s="31"/>
      <c r="N11" s="31"/>
      <c r="O11" s="31"/>
    </row>
    <row r="12" spans="1:15" ht="37.5" x14ac:dyDescent="0.25">
      <c r="A12" s="8" t="s">
        <v>45</v>
      </c>
      <c r="B12" s="14" t="s">
        <v>46</v>
      </c>
      <c r="C12" s="8" t="s">
        <v>47</v>
      </c>
      <c r="D12" s="8" t="s">
        <v>32</v>
      </c>
      <c r="E12" s="10">
        <v>1841</v>
      </c>
      <c r="F12" s="13">
        <v>6495.86</v>
      </c>
      <c r="G12" s="13"/>
      <c r="H12" s="13">
        <v>987.96</v>
      </c>
      <c r="I12" s="13">
        <f t="shared" ref="I12:I17" si="1">G12+H12</f>
        <v>987.96</v>
      </c>
      <c r="J12" s="13"/>
      <c r="K12" s="13">
        <v>1000</v>
      </c>
      <c r="L12" s="13">
        <f>J12+K12</f>
        <v>1000</v>
      </c>
      <c r="M12" s="4"/>
      <c r="N12" s="4"/>
      <c r="O12" s="4"/>
    </row>
    <row r="13" spans="1:15" ht="37.5" x14ac:dyDescent="0.25">
      <c r="A13" s="8" t="s">
        <v>13</v>
      </c>
      <c r="B13" s="14" t="s">
        <v>48</v>
      </c>
      <c r="C13" s="8" t="s">
        <v>49</v>
      </c>
      <c r="D13" s="8" t="s">
        <v>32</v>
      </c>
      <c r="E13" s="10">
        <v>4343</v>
      </c>
      <c r="F13" s="13">
        <v>7461.26</v>
      </c>
      <c r="G13" s="13"/>
      <c r="H13" s="13">
        <v>3733.8</v>
      </c>
      <c r="I13" s="13">
        <f t="shared" si="1"/>
        <v>3733.8</v>
      </c>
      <c r="J13" s="13"/>
      <c r="K13" s="13">
        <v>1945.82</v>
      </c>
      <c r="L13" s="13">
        <f>J13+K13</f>
        <v>1945.82</v>
      </c>
      <c r="M13" s="4"/>
      <c r="N13" s="4"/>
      <c r="O13" s="4"/>
    </row>
    <row r="14" spans="1:15" ht="37.5" x14ac:dyDescent="0.25">
      <c r="A14" s="8" t="s">
        <v>14</v>
      </c>
      <c r="B14" s="14" t="s">
        <v>103</v>
      </c>
      <c r="C14" s="8" t="s">
        <v>51</v>
      </c>
      <c r="D14" s="8" t="s">
        <v>32</v>
      </c>
      <c r="E14" s="10">
        <v>1263</v>
      </c>
      <c r="F14" s="13">
        <v>3544.66</v>
      </c>
      <c r="G14" s="13"/>
      <c r="H14" s="13">
        <v>2495.21</v>
      </c>
      <c r="I14" s="13">
        <f t="shared" si="1"/>
        <v>2495.21</v>
      </c>
      <c r="J14" s="13"/>
      <c r="K14" s="13"/>
      <c r="L14" s="13"/>
      <c r="M14" s="4"/>
      <c r="N14" s="4"/>
      <c r="O14" s="4"/>
    </row>
    <row r="15" spans="1:15" ht="56.25" x14ac:dyDescent="0.25">
      <c r="A15" s="8" t="s">
        <v>15</v>
      </c>
      <c r="B15" s="14" t="s">
        <v>52</v>
      </c>
      <c r="C15" s="10" t="s">
        <v>53</v>
      </c>
      <c r="D15" s="8" t="s">
        <v>32</v>
      </c>
      <c r="E15" s="10">
        <v>1988</v>
      </c>
      <c r="F15" s="13">
        <v>5795.1949999999997</v>
      </c>
      <c r="G15" s="13">
        <v>2705.605</v>
      </c>
      <c r="H15" s="13"/>
      <c r="I15" s="13">
        <f t="shared" si="1"/>
        <v>2705.605</v>
      </c>
      <c r="J15" s="13"/>
      <c r="K15" s="13">
        <v>1000</v>
      </c>
      <c r="L15" s="13">
        <f t="shared" si="0"/>
        <v>1000</v>
      </c>
      <c r="M15" s="4"/>
      <c r="N15" s="4"/>
      <c r="O15" s="4"/>
    </row>
    <row r="16" spans="1:15" ht="56.25" x14ac:dyDescent="0.25">
      <c r="A16" s="8" t="s">
        <v>16</v>
      </c>
      <c r="B16" s="14" t="s">
        <v>54</v>
      </c>
      <c r="C16" s="10" t="s">
        <v>53</v>
      </c>
      <c r="D16" s="8" t="s">
        <v>32</v>
      </c>
      <c r="E16" s="10">
        <v>25243</v>
      </c>
      <c r="F16" s="13">
        <v>9983.3549999999996</v>
      </c>
      <c r="G16" s="13">
        <v>783.35500000000002</v>
      </c>
      <c r="H16" s="13"/>
      <c r="I16" s="13">
        <f t="shared" si="1"/>
        <v>783.35500000000002</v>
      </c>
      <c r="J16" s="13">
        <f>1000</f>
        <v>1000</v>
      </c>
      <c r="K16" s="13"/>
      <c r="L16" s="13">
        <f t="shared" si="0"/>
        <v>1000</v>
      </c>
      <c r="M16" s="4"/>
      <c r="N16" s="4"/>
      <c r="O16" s="4"/>
    </row>
    <row r="17" spans="1:31" ht="56.25" x14ac:dyDescent="0.25">
      <c r="A17" s="8" t="s">
        <v>17</v>
      </c>
      <c r="B17" s="14" t="s">
        <v>55</v>
      </c>
      <c r="C17" s="10" t="s">
        <v>53</v>
      </c>
      <c r="D17" s="8" t="s">
        <v>32</v>
      </c>
      <c r="E17" s="10">
        <v>32140</v>
      </c>
      <c r="F17" s="13">
        <v>10257.91</v>
      </c>
      <c r="G17" s="13">
        <v>907.91</v>
      </c>
      <c r="H17" s="13"/>
      <c r="I17" s="13">
        <f t="shared" si="1"/>
        <v>907.91</v>
      </c>
      <c r="J17" s="13">
        <f>1000</f>
        <v>1000</v>
      </c>
      <c r="K17" s="13"/>
      <c r="L17" s="13">
        <f t="shared" si="0"/>
        <v>1000</v>
      </c>
      <c r="M17" s="4"/>
      <c r="N17" s="4"/>
      <c r="O17" s="4"/>
    </row>
    <row r="18" spans="1:31" ht="37.5" x14ac:dyDescent="0.25">
      <c r="A18" s="8" t="s">
        <v>18</v>
      </c>
      <c r="B18" s="14" t="s">
        <v>96</v>
      </c>
      <c r="C18" s="8" t="s">
        <v>57</v>
      </c>
      <c r="D18" s="8" t="s">
        <v>32</v>
      </c>
      <c r="E18" s="10">
        <v>14464</v>
      </c>
      <c r="F18" s="13">
        <v>24112.78</v>
      </c>
      <c r="G18" s="13"/>
      <c r="H18" s="13"/>
      <c r="I18" s="13"/>
      <c r="J18" s="13"/>
      <c r="K18" s="13"/>
      <c r="L18" s="13"/>
      <c r="M18" s="4"/>
      <c r="N18" s="4"/>
      <c r="O18" s="4"/>
    </row>
    <row r="19" spans="1:31" ht="37.5" x14ac:dyDescent="0.25">
      <c r="A19" s="8" t="s">
        <v>19</v>
      </c>
      <c r="B19" s="14" t="s">
        <v>58</v>
      </c>
      <c r="C19" s="8" t="s">
        <v>47</v>
      </c>
      <c r="D19" s="8" t="s">
        <v>32</v>
      </c>
      <c r="E19" s="10">
        <v>12386</v>
      </c>
      <c r="F19" s="15">
        <v>4740.9780000000001</v>
      </c>
      <c r="G19" s="13"/>
      <c r="H19" s="13"/>
      <c r="I19" s="13"/>
      <c r="J19" s="13">
        <f>1929.61*0.3</f>
        <v>578.88299999999992</v>
      </c>
      <c r="K19" s="13"/>
      <c r="L19" s="13">
        <f>J19+K19</f>
        <v>578.88299999999992</v>
      </c>
      <c r="M19" s="4"/>
      <c r="N19" s="4"/>
      <c r="O19" s="4"/>
    </row>
    <row r="20" spans="1:31" s="29" customFormat="1" ht="37.5" x14ac:dyDescent="0.25">
      <c r="A20" s="8" t="s">
        <v>20</v>
      </c>
      <c r="B20" s="24" t="s">
        <v>59</v>
      </c>
      <c r="C20" s="23" t="s">
        <v>60</v>
      </c>
      <c r="D20" s="23" t="s">
        <v>32</v>
      </c>
      <c r="E20" s="25">
        <v>3392</v>
      </c>
      <c r="F20" s="26">
        <v>6272.08</v>
      </c>
      <c r="G20" s="13"/>
      <c r="H20" s="13"/>
      <c r="I20" s="13"/>
      <c r="J20" s="13"/>
      <c r="K20" s="13"/>
      <c r="L20" s="13"/>
      <c r="M20" s="30"/>
      <c r="N20" s="30"/>
      <c r="O20" s="30"/>
    </row>
    <row r="21" spans="1:31" ht="37.5" x14ac:dyDescent="0.25">
      <c r="A21" s="8" t="s">
        <v>21</v>
      </c>
      <c r="B21" s="14" t="s">
        <v>61</v>
      </c>
      <c r="C21" s="8" t="s">
        <v>62</v>
      </c>
      <c r="D21" s="8" t="s">
        <v>32</v>
      </c>
      <c r="E21" s="10">
        <v>10300</v>
      </c>
      <c r="F21" s="11">
        <v>38246.17</v>
      </c>
      <c r="G21" s="13"/>
      <c r="H21" s="13"/>
      <c r="I21" s="13"/>
      <c r="J21" s="13">
        <f>5500+546.73</f>
        <v>6046.73</v>
      </c>
      <c r="K21" s="13"/>
      <c r="L21" s="13">
        <f>J21+K21</f>
        <v>6046.73</v>
      </c>
      <c r="M21" s="4"/>
      <c r="N21" s="4"/>
      <c r="O21" s="4"/>
    </row>
    <row r="22" spans="1:31" ht="37.5" x14ac:dyDescent="0.25">
      <c r="A22" s="8" t="s">
        <v>22</v>
      </c>
      <c r="B22" s="14" t="s">
        <v>97</v>
      </c>
      <c r="C22" s="8" t="s">
        <v>64</v>
      </c>
      <c r="D22" s="8" t="s">
        <v>32</v>
      </c>
      <c r="E22" s="10">
        <v>2000</v>
      </c>
      <c r="F22" s="11">
        <v>5708.1549999999997</v>
      </c>
      <c r="G22" s="13"/>
      <c r="H22" s="13"/>
      <c r="I22" s="13"/>
      <c r="J22" s="13"/>
      <c r="K22" s="13"/>
      <c r="L22" s="13"/>
      <c r="M22" s="4"/>
      <c r="N22" s="4"/>
      <c r="O22" s="4"/>
    </row>
    <row r="23" spans="1:31" ht="37.5" x14ac:dyDescent="0.25">
      <c r="A23" s="8" t="s">
        <v>23</v>
      </c>
      <c r="B23" s="14" t="s">
        <v>65</v>
      </c>
      <c r="C23" s="8" t="s">
        <v>66</v>
      </c>
      <c r="D23" s="8" t="s">
        <v>32</v>
      </c>
      <c r="E23" s="10">
        <v>750</v>
      </c>
      <c r="F23" s="11">
        <v>2120.0700000000002</v>
      </c>
      <c r="G23" s="13"/>
      <c r="H23" s="13"/>
      <c r="I23" s="13"/>
      <c r="J23" s="13">
        <v>620.07000000000005</v>
      </c>
      <c r="K23" s="13"/>
      <c r="L23" s="13">
        <f>J23+K23</f>
        <v>620.07000000000005</v>
      </c>
      <c r="M23" s="4"/>
      <c r="N23" s="4"/>
      <c r="O23" s="4"/>
    </row>
    <row r="24" spans="1:31" ht="37.5" x14ac:dyDescent="0.25">
      <c r="A24" s="8" t="s">
        <v>24</v>
      </c>
      <c r="B24" s="14" t="s">
        <v>67</v>
      </c>
      <c r="C24" s="8" t="s">
        <v>68</v>
      </c>
      <c r="D24" s="8" t="s">
        <v>32</v>
      </c>
      <c r="E24" s="10">
        <v>475</v>
      </c>
      <c r="F24" s="11">
        <v>1437.43</v>
      </c>
      <c r="G24" s="13"/>
      <c r="H24" s="13"/>
      <c r="I24" s="13"/>
      <c r="J24" s="13"/>
      <c r="K24" s="13"/>
      <c r="L24" s="13"/>
      <c r="M24" s="4"/>
      <c r="N24" s="4"/>
      <c r="O24" s="4"/>
    </row>
    <row r="25" spans="1:31" ht="37.5" x14ac:dyDescent="0.25">
      <c r="A25" s="8" t="s">
        <v>25</v>
      </c>
      <c r="B25" s="14" t="s">
        <v>98</v>
      </c>
      <c r="C25" s="8" t="s">
        <v>70</v>
      </c>
      <c r="D25" s="8" t="s">
        <v>32</v>
      </c>
      <c r="E25" s="10">
        <v>4500</v>
      </c>
      <c r="F25" s="11">
        <v>15597.54</v>
      </c>
      <c r="G25" s="13"/>
      <c r="H25" s="13"/>
      <c r="I25" s="13"/>
      <c r="J25" s="13">
        <v>1500</v>
      </c>
      <c r="K25" s="13"/>
      <c r="L25" s="13">
        <f>J25+K25</f>
        <v>1500</v>
      </c>
      <c r="M25" s="4"/>
      <c r="N25" s="4"/>
      <c r="O25" s="4"/>
    </row>
    <row r="26" spans="1:31" ht="37.5" x14ac:dyDescent="0.25">
      <c r="A26" s="8" t="s">
        <v>26</v>
      </c>
      <c r="B26" s="14" t="s">
        <v>99</v>
      </c>
      <c r="C26" s="8" t="s">
        <v>70</v>
      </c>
      <c r="D26" s="8" t="s">
        <v>32</v>
      </c>
      <c r="E26" s="10">
        <v>5000</v>
      </c>
      <c r="F26" s="11">
        <v>17688.39</v>
      </c>
      <c r="G26" s="13"/>
      <c r="H26" s="13"/>
      <c r="I26" s="13"/>
      <c r="J26" s="13"/>
      <c r="K26" s="13"/>
      <c r="L26" s="13"/>
      <c r="M26" s="4"/>
      <c r="N26" s="4"/>
      <c r="O26" s="4"/>
    </row>
    <row r="27" spans="1:31" s="29" customFormat="1" ht="23.25" customHeight="1" x14ac:dyDescent="0.25">
      <c r="A27" s="8" t="s">
        <v>27</v>
      </c>
      <c r="B27" s="24" t="s">
        <v>72</v>
      </c>
      <c r="C27" s="23" t="s">
        <v>73</v>
      </c>
      <c r="D27" s="23" t="s">
        <v>32</v>
      </c>
      <c r="E27" s="25">
        <v>2000</v>
      </c>
      <c r="F27" s="28">
        <v>5229.8280000000004</v>
      </c>
      <c r="G27" s="13"/>
      <c r="H27" s="13"/>
      <c r="I27" s="13"/>
      <c r="J27" s="13">
        <v>1195.421</v>
      </c>
      <c r="K27" s="13"/>
      <c r="L27" s="13">
        <f>J27+K27</f>
        <v>1195.421</v>
      </c>
      <c r="M27" s="30"/>
      <c r="N27" s="30"/>
      <c r="O27" s="30"/>
    </row>
    <row r="28" spans="1:31" ht="21.75" customHeight="1" x14ac:dyDescent="0.25">
      <c r="A28" s="8" t="s">
        <v>28</v>
      </c>
      <c r="B28" s="14" t="s">
        <v>74</v>
      </c>
      <c r="C28" s="8" t="s">
        <v>73</v>
      </c>
      <c r="D28" s="8" t="s">
        <v>32</v>
      </c>
      <c r="E28" s="10">
        <v>1166</v>
      </c>
      <c r="F28" s="11">
        <v>2788.223</v>
      </c>
      <c r="G28" s="13"/>
      <c r="H28" s="13"/>
      <c r="I28" s="13"/>
      <c r="J28" s="13">
        <v>61.502000000000002</v>
      </c>
      <c r="K28" s="13">
        <v>2706.37</v>
      </c>
      <c r="L28" s="13">
        <f>J28+K28</f>
        <v>2767.8719999999998</v>
      </c>
      <c r="M28" s="4"/>
      <c r="N28" s="4"/>
      <c r="O28" s="4"/>
    </row>
    <row r="29" spans="1:31" ht="43.5" customHeight="1" x14ac:dyDescent="0.25">
      <c r="A29" s="8" t="s">
        <v>75</v>
      </c>
      <c r="B29" s="14" t="s">
        <v>100</v>
      </c>
      <c r="C29" s="8" t="s">
        <v>77</v>
      </c>
      <c r="D29" s="8" t="s">
        <v>32</v>
      </c>
      <c r="E29" s="10">
        <v>2699</v>
      </c>
      <c r="F29" s="11">
        <v>6910.41</v>
      </c>
      <c r="G29" s="13"/>
      <c r="H29" s="13"/>
      <c r="I29" s="13"/>
      <c r="J29" s="13"/>
      <c r="K29" s="13">
        <f>6418.69-1119.47</f>
        <v>5299.2199999999993</v>
      </c>
      <c r="L29" s="13">
        <f t="shared" ref="L29:L31" si="2">J29+K29</f>
        <v>5299.2199999999993</v>
      </c>
      <c r="M29" s="4"/>
      <c r="N29" s="4"/>
      <c r="O29" s="4"/>
    </row>
    <row r="30" spans="1:31" s="39" customFormat="1" ht="37.5" x14ac:dyDescent="0.3">
      <c r="A30" s="8" t="s">
        <v>87</v>
      </c>
      <c r="B30" s="14" t="s">
        <v>101</v>
      </c>
      <c r="C30" s="8" t="s">
        <v>35</v>
      </c>
      <c r="D30" s="8" t="s">
        <v>32</v>
      </c>
      <c r="E30" s="37">
        <v>12000</v>
      </c>
      <c r="F30" s="38">
        <v>60653.85</v>
      </c>
      <c r="G30" s="13"/>
      <c r="H30" s="13"/>
      <c r="I30" s="13"/>
      <c r="J30" s="13">
        <f>4294.43+59.42-1000</f>
        <v>3353.8500000000004</v>
      </c>
      <c r="K30" s="13"/>
      <c r="L30" s="13">
        <f t="shared" si="2"/>
        <v>3353.8500000000004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39" customFormat="1" ht="37.5" x14ac:dyDescent="0.3">
      <c r="A31" s="8" t="s">
        <v>88</v>
      </c>
      <c r="B31" s="14" t="s">
        <v>89</v>
      </c>
      <c r="C31" s="8" t="s">
        <v>90</v>
      </c>
      <c r="D31" s="8" t="s">
        <v>32</v>
      </c>
      <c r="E31" s="37">
        <v>1300</v>
      </c>
      <c r="F31" s="38">
        <v>2180.84</v>
      </c>
      <c r="G31" s="13"/>
      <c r="H31" s="13"/>
      <c r="I31" s="13"/>
      <c r="J31" s="13">
        <v>253.84</v>
      </c>
      <c r="K31" s="13"/>
      <c r="L31" s="13">
        <f t="shared" si="2"/>
        <v>253.84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39" customFormat="1" ht="37.5" x14ac:dyDescent="0.3">
      <c r="A32" s="8" t="s">
        <v>91</v>
      </c>
      <c r="B32" s="14" t="s">
        <v>102</v>
      </c>
      <c r="C32" s="8" t="s">
        <v>92</v>
      </c>
      <c r="D32" s="8" t="s">
        <v>32</v>
      </c>
      <c r="E32" s="37">
        <v>1000</v>
      </c>
      <c r="F32" s="38">
        <v>7528.5099999999993</v>
      </c>
      <c r="G32" s="13"/>
      <c r="H32" s="13"/>
      <c r="I32" s="13"/>
      <c r="J32" s="13">
        <v>549.79999999999995</v>
      </c>
      <c r="K32" s="13">
        <f>7487.23+167.29-696.73</f>
        <v>6957.7899999999991</v>
      </c>
      <c r="L32" s="13">
        <f>J32+K32</f>
        <v>7507.5899999999992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  <c r="X32" s="42"/>
      <c r="Y32" s="42"/>
      <c r="Z32" s="42"/>
      <c r="AA32" s="42"/>
      <c r="AB32" s="42"/>
      <c r="AC32" s="42"/>
      <c r="AD32" s="42"/>
      <c r="AE32" s="42"/>
    </row>
    <row r="33" spans="1:15" x14ac:dyDescent="0.25">
      <c r="A33" s="8"/>
      <c r="B33" s="14" t="s">
        <v>78</v>
      </c>
      <c r="C33" s="8"/>
      <c r="D33" s="8"/>
      <c r="E33" s="8"/>
      <c r="F33" s="17"/>
      <c r="G33" s="13">
        <f t="shared" ref="G33:I33" si="3">SUM(G7:G29)</f>
        <v>4396.87</v>
      </c>
      <c r="H33" s="13">
        <f t="shared" si="3"/>
        <v>7216.97</v>
      </c>
      <c r="I33" s="13">
        <f t="shared" si="3"/>
        <v>11613.84</v>
      </c>
      <c r="J33" s="13">
        <f>SUM(J7:J32)</f>
        <v>20695.930213583997</v>
      </c>
      <c r="K33" s="13">
        <f t="shared" ref="K33:L33" si="4">SUM(K7:K32)</f>
        <v>18909.199999999997</v>
      </c>
      <c r="L33" s="13">
        <f t="shared" si="4"/>
        <v>39605.130213583994</v>
      </c>
      <c r="M33" s="4"/>
      <c r="N33" s="4"/>
      <c r="O33" s="4"/>
    </row>
    <row r="34" spans="1:15" x14ac:dyDescent="0.3">
      <c r="A34" s="3"/>
      <c r="B34" s="3"/>
      <c r="G34" s="5"/>
      <c r="H34" s="5"/>
      <c r="I34" s="18"/>
      <c r="J34" s="18"/>
      <c r="K34" s="18"/>
      <c r="L34" s="18"/>
      <c r="M34" s="18"/>
      <c r="N34" s="18"/>
      <c r="O34" s="18"/>
    </row>
    <row r="35" spans="1:15" ht="68.25" customHeight="1" x14ac:dyDescent="0.3">
      <c r="A35" s="3"/>
      <c r="B35" s="33" t="s">
        <v>85</v>
      </c>
      <c r="G35" s="5"/>
      <c r="H35" s="43" t="s">
        <v>86</v>
      </c>
      <c r="I35" s="43"/>
      <c r="J35" s="43"/>
      <c r="K35" s="18"/>
      <c r="L35" s="18"/>
      <c r="M35" s="18"/>
      <c r="N35" s="18"/>
      <c r="O35" s="18"/>
    </row>
    <row r="36" spans="1:15" ht="48.75" customHeight="1" x14ac:dyDescent="0.3">
      <c r="B36" s="44" t="s">
        <v>81</v>
      </c>
      <c r="C36" s="44"/>
      <c r="G36" s="34"/>
      <c r="H36" s="45" t="s">
        <v>80</v>
      </c>
      <c r="I36" s="45"/>
      <c r="J36" s="45"/>
      <c r="L36" s="5"/>
      <c r="O36" s="5"/>
    </row>
  </sheetData>
  <mergeCells count="13">
    <mergeCell ref="A3:A5"/>
    <mergeCell ref="B3:B5"/>
    <mergeCell ref="C3:E4"/>
    <mergeCell ref="F3:F5"/>
    <mergeCell ref="G3:I3"/>
    <mergeCell ref="G4:I4"/>
    <mergeCell ref="H35:J35"/>
    <mergeCell ref="B36:C36"/>
    <mergeCell ref="H36:J36"/>
    <mergeCell ref="I1:L1"/>
    <mergeCell ref="B2:L2"/>
    <mergeCell ref="J3:L3"/>
    <mergeCell ref="J4:L4"/>
  </mergeCells>
  <printOptions horizontalCentered="1"/>
  <pageMargins left="0.31496062992125984" right="0.31496062992125984" top="0.74803149606299213" bottom="0.35433070866141736" header="0" footer="0"/>
  <pageSetup paperSize="8"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view="pageBreakPreview" zoomScale="71" zoomScaleNormal="71" zoomScaleSheetLayoutView="71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32" sqref="B32"/>
    </sheetView>
  </sheetViews>
  <sheetFormatPr defaultRowHeight="18.75" x14ac:dyDescent="0.3"/>
  <cols>
    <col min="1" max="1" width="6.28515625" style="19" customWidth="1"/>
    <col min="2" max="2" width="99.85546875" style="20" customWidth="1"/>
    <col min="3" max="3" width="37" style="3" customWidth="1"/>
    <col min="4" max="4" width="17.140625" style="3" customWidth="1"/>
    <col min="5" max="5" width="17" style="3" customWidth="1"/>
    <col min="6" max="6" width="19.28515625" style="3" customWidth="1"/>
    <col min="7" max="15" width="15.7109375" style="3" customWidth="1"/>
    <col min="16" max="16384" width="9.140625" style="4"/>
  </cols>
  <sheetData>
    <row r="1" spans="1:15" ht="63" customHeight="1" x14ac:dyDescent="0.3">
      <c r="A1" s="1"/>
      <c r="B1" s="1"/>
      <c r="C1" s="2"/>
      <c r="D1" s="2"/>
      <c r="E1" s="2"/>
      <c r="F1" s="2"/>
      <c r="G1" s="2"/>
      <c r="H1" s="2"/>
      <c r="I1" s="46" t="s">
        <v>82</v>
      </c>
      <c r="J1" s="46"/>
      <c r="K1" s="46"/>
      <c r="L1" s="46"/>
      <c r="M1" s="1"/>
      <c r="N1" s="1"/>
      <c r="O1" s="1"/>
    </row>
    <row r="2" spans="1:15" ht="67.5" customHeight="1" x14ac:dyDescent="0.3">
      <c r="A2" s="1"/>
      <c r="B2" s="47" t="s">
        <v>83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32"/>
      <c r="N2" s="32"/>
      <c r="O2" s="32"/>
    </row>
    <row r="3" spans="1:15" ht="18.75" customHeight="1" x14ac:dyDescent="0.3">
      <c r="A3" s="52" t="s">
        <v>0</v>
      </c>
      <c r="B3" s="55" t="s">
        <v>1</v>
      </c>
      <c r="C3" s="58" t="s">
        <v>2</v>
      </c>
      <c r="D3" s="59"/>
      <c r="E3" s="60"/>
      <c r="F3" s="51" t="s">
        <v>3</v>
      </c>
      <c r="G3" s="48">
        <v>2020</v>
      </c>
      <c r="H3" s="49"/>
      <c r="I3" s="50"/>
      <c r="J3" s="48">
        <v>2021</v>
      </c>
      <c r="K3" s="49"/>
      <c r="L3" s="50"/>
      <c r="M3" s="31"/>
      <c r="N3" s="31"/>
      <c r="O3" s="31"/>
    </row>
    <row r="4" spans="1:15" ht="18.75" customHeight="1" x14ac:dyDescent="0.25">
      <c r="A4" s="53"/>
      <c r="B4" s="56"/>
      <c r="C4" s="61"/>
      <c r="D4" s="62"/>
      <c r="E4" s="63"/>
      <c r="F4" s="51"/>
      <c r="G4" s="51" t="s">
        <v>4</v>
      </c>
      <c r="H4" s="51"/>
      <c r="I4" s="51"/>
      <c r="J4" s="51" t="s">
        <v>4</v>
      </c>
      <c r="K4" s="51"/>
      <c r="L4" s="51"/>
      <c r="M4" s="31"/>
      <c r="N4" s="31"/>
      <c r="O4" s="31"/>
    </row>
    <row r="5" spans="1:15" ht="37.5" x14ac:dyDescent="0.25">
      <c r="A5" s="54"/>
      <c r="B5" s="57"/>
      <c r="C5" s="6" t="s">
        <v>5</v>
      </c>
      <c r="D5" s="6" t="s">
        <v>6</v>
      </c>
      <c r="E5" s="7" t="s">
        <v>7</v>
      </c>
      <c r="F5" s="51"/>
      <c r="G5" s="22" t="s">
        <v>84</v>
      </c>
      <c r="H5" s="6" t="s">
        <v>8</v>
      </c>
      <c r="I5" s="6" t="s">
        <v>9</v>
      </c>
      <c r="J5" s="22" t="s">
        <v>10</v>
      </c>
      <c r="K5" s="22" t="s">
        <v>11</v>
      </c>
      <c r="L5" s="22" t="s">
        <v>12</v>
      </c>
      <c r="M5" s="31"/>
      <c r="N5" s="31"/>
      <c r="O5" s="31"/>
    </row>
    <row r="6" spans="1:1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 t="s">
        <v>14</v>
      </c>
      <c r="H6" s="8" t="s">
        <v>15</v>
      </c>
      <c r="I6" s="8" t="s">
        <v>16</v>
      </c>
      <c r="J6" s="8" t="s">
        <v>19</v>
      </c>
      <c r="K6" s="8" t="s">
        <v>20</v>
      </c>
      <c r="L6" s="8" t="s">
        <v>21</v>
      </c>
      <c r="M6" s="4"/>
      <c r="N6" s="4"/>
      <c r="O6" s="4"/>
    </row>
    <row r="7" spans="1:15" ht="56.25" x14ac:dyDescent="0.25">
      <c r="A7" s="8" t="s">
        <v>29</v>
      </c>
      <c r="B7" s="14" t="s">
        <v>30</v>
      </c>
      <c r="C7" s="8" t="s">
        <v>31</v>
      </c>
      <c r="D7" s="9" t="s">
        <v>32</v>
      </c>
      <c r="E7" s="10">
        <v>1500</v>
      </c>
      <c r="F7" s="11">
        <v>4794.3999999999996</v>
      </c>
      <c r="G7" s="12">
        <f>449.53+0.02</f>
        <v>449.54999999999995</v>
      </c>
      <c r="H7" s="12"/>
      <c r="I7" s="12">
        <f>G7+H7</f>
        <v>449.54999999999995</v>
      </c>
      <c r="J7" s="12">
        <f>319.53+130.02+116.766+1028.308*0.601524</f>
        <v>1184.8679413919999</v>
      </c>
      <c r="K7" s="12"/>
      <c r="L7" s="12">
        <f t="shared" ref="L7:L17" si="0">J7+K7</f>
        <v>1184.8679413919999</v>
      </c>
      <c r="M7" s="4"/>
      <c r="N7" s="4"/>
      <c r="O7" s="4"/>
    </row>
    <row r="8" spans="1:15" ht="37.5" x14ac:dyDescent="0.25">
      <c r="A8" s="8" t="s">
        <v>33</v>
      </c>
      <c r="B8" s="14" t="s">
        <v>34</v>
      </c>
      <c r="C8" s="8" t="s">
        <v>35</v>
      </c>
      <c r="D8" s="8" t="s">
        <v>32</v>
      </c>
      <c r="E8" s="10">
        <v>1500</v>
      </c>
      <c r="F8" s="11">
        <v>3118.85</v>
      </c>
      <c r="G8" s="12">
        <v>276.8</v>
      </c>
      <c r="H8" s="12"/>
      <c r="I8" s="12">
        <f>G8+H8</f>
        <v>276.8</v>
      </c>
      <c r="J8" s="12">
        <f>276.8+108.57+116.766+1028.308*0.601524</f>
        <v>1120.6879413919999</v>
      </c>
      <c r="K8" s="12"/>
      <c r="L8" s="12">
        <f t="shared" si="0"/>
        <v>1120.6879413919999</v>
      </c>
      <c r="M8" s="4"/>
      <c r="N8" s="4"/>
      <c r="O8" s="4"/>
    </row>
    <row r="9" spans="1:15" ht="56.25" x14ac:dyDescent="0.25">
      <c r="A9" s="8" t="s">
        <v>36</v>
      </c>
      <c r="B9" s="14" t="s">
        <v>37</v>
      </c>
      <c r="C9" s="8" t="s">
        <v>38</v>
      </c>
      <c r="D9" s="8" t="s">
        <v>32</v>
      </c>
      <c r="E9" s="10">
        <v>700</v>
      </c>
      <c r="F9" s="11">
        <v>2089.75</v>
      </c>
      <c r="G9" s="12">
        <v>276.95999999999998</v>
      </c>
      <c r="H9" s="12"/>
      <c r="I9" s="12">
        <f>G9+H9</f>
        <v>276.95999999999998</v>
      </c>
      <c r="J9" s="12">
        <f>121.92+82.99+72.06+758.86*0.601524</f>
        <v>733.44250263999993</v>
      </c>
      <c r="K9" s="12"/>
      <c r="L9" s="12">
        <f t="shared" si="0"/>
        <v>733.44250263999993</v>
      </c>
      <c r="M9" s="4"/>
      <c r="N9" s="4"/>
      <c r="O9" s="4"/>
    </row>
    <row r="10" spans="1:15" ht="37.5" x14ac:dyDescent="0.25">
      <c r="A10" s="8" t="s">
        <v>39</v>
      </c>
      <c r="B10" s="21" t="s">
        <v>40</v>
      </c>
      <c r="C10" s="8" t="s">
        <v>41</v>
      </c>
      <c r="D10" s="8" t="s">
        <v>32</v>
      </c>
      <c r="E10" s="10">
        <v>1500</v>
      </c>
      <c r="F10" s="11">
        <v>5259.81</v>
      </c>
      <c r="G10" s="12">
        <v>262.02999999999997</v>
      </c>
      <c r="H10" s="12"/>
      <c r="I10" s="12">
        <f>G10+H10</f>
        <v>262.02999999999997</v>
      </c>
      <c r="J10" s="12">
        <f>262.03+108.57+116.766+1028.308*0.60152</f>
        <v>1105.9138281600001</v>
      </c>
      <c r="K10" s="12"/>
      <c r="L10" s="12">
        <f t="shared" si="0"/>
        <v>1105.9138281600001</v>
      </c>
      <c r="M10" s="4"/>
      <c r="N10" s="4"/>
      <c r="O10" s="4"/>
    </row>
    <row r="11" spans="1:15" ht="37.5" x14ac:dyDescent="0.25">
      <c r="A11" s="8" t="s">
        <v>42</v>
      </c>
      <c r="B11" s="14" t="s">
        <v>43</v>
      </c>
      <c r="C11" s="8" t="s">
        <v>44</v>
      </c>
      <c r="D11" s="8" t="s">
        <v>32</v>
      </c>
      <c r="E11" s="10">
        <v>3000</v>
      </c>
      <c r="F11" s="13">
        <v>9898.56</v>
      </c>
      <c r="G11" s="12"/>
      <c r="H11" s="12"/>
      <c r="I11" s="12"/>
      <c r="J11" s="12">
        <v>1419.4270000000001</v>
      </c>
      <c r="K11" s="12"/>
      <c r="L11" s="12">
        <f t="shared" si="0"/>
        <v>1419.4270000000001</v>
      </c>
      <c r="M11" s="31"/>
      <c r="N11" s="31"/>
      <c r="O11" s="31"/>
    </row>
    <row r="12" spans="1:15" ht="37.5" x14ac:dyDescent="0.25">
      <c r="A12" s="8" t="s">
        <v>45</v>
      </c>
      <c r="B12" s="14" t="s">
        <v>46</v>
      </c>
      <c r="C12" s="8" t="s">
        <v>47</v>
      </c>
      <c r="D12" s="8" t="s">
        <v>32</v>
      </c>
      <c r="E12" s="13" t="s">
        <v>79</v>
      </c>
      <c r="F12" s="13">
        <v>22784.76</v>
      </c>
      <c r="G12" s="13"/>
      <c r="H12" s="13">
        <f>14929.89+776.77</f>
        <v>15706.66</v>
      </c>
      <c r="I12" s="13">
        <f t="shared" ref="I12:I17" si="1">G12+H12</f>
        <v>15706.66</v>
      </c>
      <c r="J12" s="13"/>
      <c r="K12" s="13">
        <f>5607.810452+3450.48+328.68-2623.49-55.4+72.06+4045.22-71.75-K29-1764.72</f>
        <v>2570.200452000001</v>
      </c>
      <c r="L12" s="13">
        <f t="shared" si="0"/>
        <v>2570.200452000001</v>
      </c>
      <c r="M12" s="4"/>
      <c r="N12" s="4"/>
      <c r="O12" s="4"/>
    </row>
    <row r="13" spans="1:15" ht="37.5" x14ac:dyDescent="0.25">
      <c r="A13" s="8" t="s">
        <v>13</v>
      </c>
      <c r="B13" s="14" t="s">
        <v>48</v>
      </c>
      <c r="C13" s="8" t="s">
        <v>49</v>
      </c>
      <c r="D13" s="8" t="s">
        <v>32</v>
      </c>
      <c r="E13" s="10">
        <v>4343</v>
      </c>
      <c r="F13" s="13">
        <v>12716.78292</v>
      </c>
      <c r="G13" s="13"/>
      <c r="H13" s="13">
        <f>(1293.36416-46.91553)*7.6+293.07933-776.77</f>
        <v>8989.3189180000008</v>
      </c>
      <c r="I13" s="13">
        <f t="shared" si="1"/>
        <v>8989.3189180000008</v>
      </c>
      <c r="J13" s="13"/>
      <c r="K13" s="13">
        <f>[1]Фроловский!C19/1000</f>
        <v>1945.8237291409416</v>
      </c>
      <c r="L13" s="13">
        <f t="shared" si="0"/>
        <v>1945.8237291409416</v>
      </c>
      <c r="M13" s="4"/>
      <c r="N13" s="4"/>
      <c r="O13" s="4"/>
    </row>
    <row r="14" spans="1:15" ht="37.5" x14ac:dyDescent="0.25">
      <c r="A14" s="8" t="s">
        <v>14</v>
      </c>
      <c r="B14" s="14" t="s">
        <v>50</v>
      </c>
      <c r="C14" s="8" t="s">
        <v>51</v>
      </c>
      <c r="D14" s="8" t="s">
        <v>32</v>
      </c>
      <c r="E14" s="10">
        <f>330+210+225+1+231+266</f>
        <v>1263</v>
      </c>
      <c r="F14" s="13">
        <v>7255.0745100000004</v>
      </c>
      <c r="G14" s="12"/>
      <c r="H14" s="13">
        <f>(515.60094+173.09655)*7.6+165.76195</f>
        <v>5399.8628740000004</v>
      </c>
      <c r="I14" s="13">
        <f t="shared" si="1"/>
        <v>5399.8628740000004</v>
      </c>
      <c r="J14" s="12"/>
      <c r="K14" s="13"/>
      <c r="L14" s="12"/>
      <c r="M14" s="4"/>
      <c r="N14" s="4"/>
      <c r="O14" s="4"/>
    </row>
    <row r="15" spans="1:15" ht="56.25" x14ac:dyDescent="0.25">
      <c r="A15" s="8" t="s">
        <v>15</v>
      </c>
      <c r="B15" s="14" t="s">
        <v>52</v>
      </c>
      <c r="C15" s="10" t="s">
        <v>53</v>
      </c>
      <c r="D15" s="8" t="s">
        <v>32</v>
      </c>
      <c r="E15" s="13">
        <v>1990.43</v>
      </c>
      <c r="F15" s="13">
        <v>4870.42</v>
      </c>
      <c r="G15" s="12"/>
      <c r="H15" s="12">
        <v>2000</v>
      </c>
      <c r="I15" s="13">
        <f t="shared" si="1"/>
        <v>2000</v>
      </c>
      <c r="J15" s="12"/>
      <c r="K15" s="13">
        <f>7736.222098-4804.3-61.502</f>
        <v>2870.4200980000001</v>
      </c>
      <c r="L15" s="12">
        <f t="shared" si="0"/>
        <v>2870.4200980000001</v>
      </c>
      <c r="M15" s="4"/>
      <c r="N15" s="4"/>
      <c r="O15" s="4"/>
    </row>
    <row r="16" spans="1:15" ht="56.25" x14ac:dyDescent="0.25">
      <c r="A16" s="8" t="s">
        <v>16</v>
      </c>
      <c r="B16" s="14" t="s">
        <v>54</v>
      </c>
      <c r="C16" s="10" t="s">
        <v>53</v>
      </c>
      <c r="D16" s="8" t="s">
        <v>32</v>
      </c>
      <c r="E16" s="13">
        <v>25243</v>
      </c>
      <c r="F16" s="13">
        <v>57806.69</v>
      </c>
      <c r="G16" s="12">
        <f>1765.07*0.4</f>
        <v>706.02800000000002</v>
      </c>
      <c r="H16" s="12"/>
      <c r="I16" s="12">
        <f t="shared" si="1"/>
        <v>706.02800000000002</v>
      </c>
      <c r="J16" s="16">
        <f>1099.477+419.35+1157.362+1059.042*0.60152</f>
        <v>3313.2239438400002</v>
      </c>
      <c r="K16" s="12"/>
      <c r="L16" s="12">
        <f t="shared" si="0"/>
        <v>3313.2239438400002</v>
      </c>
      <c r="M16" s="4"/>
      <c r="N16" s="4"/>
      <c r="O16" s="4"/>
    </row>
    <row r="17" spans="1:15" ht="56.25" x14ac:dyDescent="0.25">
      <c r="A17" s="8" t="s">
        <v>17</v>
      </c>
      <c r="B17" s="14" t="s">
        <v>55</v>
      </c>
      <c r="C17" s="10" t="s">
        <v>53</v>
      </c>
      <c r="D17" s="8" t="s">
        <v>32</v>
      </c>
      <c r="E17" s="13">
        <v>32140</v>
      </c>
      <c r="F17" s="13">
        <v>102050.77</v>
      </c>
      <c r="G17" s="12">
        <f>2330.49*0.4</f>
        <v>932.19599999999991</v>
      </c>
      <c r="H17" s="12"/>
      <c r="I17" s="12">
        <f t="shared" si="1"/>
        <v>932.19599999999991</v>
      </c>
      <c r="J17" s="16">
        <f>862.104+347.793+1394.066+1398.295*0.60152</f>
        <v>3445.0654083999998</v>
      </c>
      <c r="K17" s="12"/>
      <c r="L17" s="12">
        <f t="shared" si="0"/>
        <v>3445.0654083999998</v>
      </c>
      <c r="M17" s="4"/>
      <c r="N17" s="4"/>
      <c r="O17" s="4"/>
    </row>
    <row r="18" spans="1:15" ht="37.5" x14ac:dyDescent="0.25">
      <c r="A18" s="8" t="s">
        <v>18</v>
      </c>
      <c r="B18" s="14" t="s">
        <v>56</v>
      </c>
      <c r="C18" s="8" t="s">
        <v>57</v>
      </c>
      <c r="D18" s="8" t="s">
        <v>32</v>
      </c>
      <c r="E18" s="10">
        <v>13300</v>
      </c>
      <c r="F18" s="13">
        <v>43391.71</v>
      </c>
      <c r="G18" s="12"/>
      <c r="H18" s="12"/>
      <c r="I18" s="12"/>
      <c r="J18" s="12"/>
      <c r="K18" s="12"/>
      <c r="L18" s="12"/>
      <c r="M18" s="4"/>
      <c r="N18" s="4"/>
      <c r="O18" s="4"/>
    </row>
    <row r="19" spans="1:15" ht="37.5" x14ac:dyDescent="0.25">
      <c r="A19" s="8" t="s">
        <v>19</v>
      </c>
      <c r="B19" s="14" t="s">
        <v>58</v>
      </c>
      <c r="C19" s="8" t="s">
        <v>47</v>
      </c>
      <c r="D19" s="8" t="s">
        <v>32</v>
      </c>
      <c r="E19" s="10">
        <v>18759</v>
      </c>
      <c r="F19" s="15">
        <v>30966.35</v>
      </c>
      <c r="G19" s="12"/>
      <c r="H19" s="12"/>
      <c r="I19" s="12"/>
      <c r="J19" s="16">
        <f>1929.61*0.3</f>
        <v>578.88299999999992</v>
      </c>
      <c r="K19" s="12">
        <v>0</v>
      </c>
      <c r="L19" s="12">
        <f>J19+K19</f>
        <v>578.88299999999992</v>
      </c>
      <c r="M19" s="4"/>
      <c r="N19" s="4"/>
      <c r="O19" s="4"/>
    </row>
    <row r="20" spans="1:15" s="29" customFormat="1" ht="37.5" x14ac:dyDescent="0.25">
      <c r="A20" s="23" t="s">
        <v>20</v>
      </c>
      <c r="B20" s="24" t="s">
        <v>59</v>
      </c>
      <c r="C20" s="23" t="s">
        <v>60</v>
      </c>
      <c r="D20" s="23" t="s">
        <v>32</v>
      </c>
      <c r="E20" s="25">
        <v>3392</v>
      </c>
      <c r="F20" s="26">
        <v>8576.9599999999991</v>
      </c>
      <c r="G20" s="27"/>
      <c r="H20" s="27"/>
      <c r="I20" s="27"/>
      <c r="J20" s="27"/>
      <c r="K20" s="27"/>
      <c r="L20" s="27"/>
      <c r="M20" s="30"/>
      <c r="N20" s="30"/>
      <c r="O20" s="30"/>
    </row>
    <row r="21" spans="1:15" ht="37.5" x14ac:dyDescent="0.25">
      <c r="A21" s="8" t="s">
        <v>21</v>
      </c>
      <c r="B21" s="14" t="s">
        <v>61</v>
      </c>
      <c r="C21" s="8" t="s">
        <v>62</v>
      </c>
      <c r="D21" s="8" t="s">
        <v>32</v>
      </c>
      <c r="E21" s="10">
        <v>10300</v>
      </c>
      <c r="F21" s="11">
        <v>45992.926099999997</v>
      </c>
      <c r="G21" s="12"/>
      <c r="H21" s="12"/>
      <c r="I21" s="12"/>
      <c r="J21" s="12">
        <v>7031.98</v>
      </c>
      <c r="K21" s="12"/>
      <c r="L21" s="12">
        <f>J21+K21</f>
        <v>7031.98</v>
      </c>
      <c r="M21" s="4"/>
      <c r="N21" s="4"/>
      <c r="O21" s="4"/>
    </row>
    <row r="22" spans="1:15" ht="37.5" x14ac:dyDescent="0.25">
      <c r="A22" s="8" t="s">
        <v>22</v>
      </c>
      <c r="B22" s="14" t="s">
        <v>63</v>
      </c>
      <c r="C22" s="8" t="s">
        <v>64</v>
      </c>
      <c r="D22" s="8" t="s">
        <v>32</v>
      </c>
      <c r="E22" s="10">
        <v>2000</v>
      </c>
      <c r="F22" s="11">
        <v>5806.54</v>
      </c>
      <c r="G22" s="12"/>
      <c r="H22" s="12"/>
      <c r="I22" s="12"/>
      <c r="J22" s="12"/>
      <c r="K22" s="12"/>
      <c r="L22" s="12"/>
      <c r="M22" s="4"/>
      <c r="N22" s="4"/>
      <c r="O22" s="4"/>
    </row>
    <row r="23" spans="1:15" ht="37.5" x14ac:dyDescent="0.25">
      <c r="A23" s="8" t="s">
        <v>23</v>
      </c>
      <c r="B23" s="14" t="s">
        <v>65</v>
      </c>
      <c r="C23" s="8" t="s">
        <v>66</v>
      </c>
      <c r="D23" s="8" t="s">
        <v>32</v>
      </c>
      <c r="E23" s="10">
        <v>750</v>
      </c>
      <c r="F23" s="11">
        <v>1658</v>
      </c>
      <c r="G23" s="12"/>
      <c r="H23" s="12"/>
      <c r="I23" s="12"/>
      <c r="J23" s="12">
        <v>620.06999999999994</v>
      </c>
      <c r="K23" s="12"/>
      <c r="L23" s="12">
        <f>J23+K23</f>
        <v>620.06999999999994</v>
      </c>
      <c r="M23" s="4"/>
      <c r="N23" s="4"/>
      <c r="O23" s="4"/>
    </row>
    <row r="24" spans="1:15" ht="37.5" x14ac:dyDescent="0.25">
      <c r="A24" s="8" t="s">
        <v>24</v>
      </c>
      <c r="B24" s="14" t="s">
        <v>67</v>
      </c>
      <c r="C24" s="8" t="s">
        <v>68</v>
      </c>
      <c r="D24" s="8" t="s">
        <v>32</v>
      </c>
      <c r="E24" s="10">
        <v>475</v>
      </c>
      <c r="F24" s="11">
        <v>1100</v>
      </c>
      <c r="G24" s="12"/>
      <c r="H24" s="12"/>
      <c r="I24" s="12"/>
      <c r="J24" s="12"/>
      <c r="K24" s="12"/>
      <c r="L24" s="12"/>
      <c r="M24" s="4"/>
      <c r="N24" s="4"/>
      <c r="O24" s="4"/>
    </row>
    <row r="25" spans="1:15" ht="37.5" x14ac:dyDescent="0.25">
      <c r="A25" s="8" t="s">
        <v>25</v>
      </c>
      <c r="B25" s="14" t="s">
        <v>69</v>
      </c>
      <c r="C25" s="8" t="s">
        <v>70</v>
      </c>
      <c r="D25" s="8" t="s">
        <v>32</v>
      </c>
      <c r="E25" s="10">
        <v>4500</v>
      </c>
      <c r="F25" s="11">
        <v>17900</v>
      </c>
      <c r="G25" s="12"/>
      <c r="H25" s="12"/>
      <c r="I25" s="12"/>
      <c r="J25" s="12">
        <v>2450.1410000000005</v>
      </c>
      <c r="K25" s="12"/>
      <c r="L25" s="12">
        <f>J25+K25</f>
        <v>2450.1410000000005</v>
      </c>
      <c r="M25" s="4"/>
      <c r="N25" s="4"/>
      <c r="O25" s="4"/>
    </row>
    <row r="26" spans="1:15" ht="37.5" x14ac:dyDescent="0.25">
      <c r="A26" s="8" t="s">
        <v>26</v>
      </c>
      <c r="B26" s="14" t="s">
        <v>71</v>
      </c>
      <c r="C26" s="8" t="s">
        <v>70</v>
      </c>
      <c r="D26" s="8" t="s">
        <v>32</v>
      </c>
      <c r="E26" s="10">
        <v>5000</v>
      </c>
      <c r="F26" s="11">
        <v>16771.89</v>
      </c>
      <c r="G26" s="12"/>
      <c r="H26" s="12"/>
      <c r="I26" s="12"/>
      <c r="J26" s="12"/>
      <c r="K26" s="12"/>
      <c r="L26" s="12"/>
      <c r="M26" s="4"/>
      <c r="N26" s="4"/>
      <c r="O26" s="4"/>
    </row>
    <row r="27" spans="1:15" s="29" customFormat="1" x14ac:dyDescent="0.25">
      <c r="A27" s="23" t="s">
        <v>27</v>
      </c>
      <c r="B27" s="24" t="s">
        <v>72</v>
      </c>
      <c r="C27" s="23" t="s">
        <v>73</v>
      </c>
      <c r="D27" s="23" t="s">
        <v>32</v>
      </c>
      <c r="E27" s="25">
        <v>2000</v>
      </c>
      <c r="F27" s="28">
        <v>4203.3559999999998</v>
      </c>
      <c r="G27" s="27"/>
      <c r="H27" s="27"/>
      <c r="I27" s="27"/>
      <c r="J27" s="27">
        <v>1195.421</v>
      </c>
      <c r="K27" s="27"/>
      <c r="L27" s="27">
        <f>J27+K27</f>
        <v>1195.421</v>
      </c>
      <c r="M27" s="30"/>
      <c r="N27" s="30"/>
      <c r="O27" s="30"/>
    </row>
    <row r="28" spans="1:15" ht="37.5" x14ac:dyDescent="0.25">
      <c r="A28" s="8" t="s">
        <v>28</v>
      </c>
      <c r="B28" s="14" t="s">
        <v>74</v>
      </c>
      <c r="C28" s="8" t="s">
        <v>73</v>
      </c>
      <c r="D28" s="8" t="s">
        <v>32</v>
      </c>
      <c r="E28" s="10">
        <v>1745</v>
      </c>
      <c r="F28" s="11">
        <v>4203.3559999999998</v>
      </c>
      <c r="G28" s="12"/>
      <c r="H28" s="12"/>
      <c r="I28" s="12"/>
      <c r="J28" s="13">
        <v>61.502000000000002</v>
      </c>
      <c r="K28" s="12">
        <v>2937.846</v>
      </c>
      <c r="L28" s="12">
        <f>J28+K28</f>
        <v>2999.348</v>
      </c>
      <c r="M28" s="4"/>
      <c r="N28" s="4"/>
      <c r="O28" s="4"/>
    </row>
    <row r="29" spans="1:15" ht="56.25" x14ac:dyDescent="0.25">
      <c r="A29" s="8" t="s">
        <v>75</v>
      </c>
      <c r="B29" s="14" t="s">
        <v>76</v>
      </c>
      <c r="C29" s="8" t="s">
        <v>77</v>
      </c>
      <c r="D29" s="8" t="s">
        <v>32</v>
      </c>
      <c r="E29" s="10">
        <v>2699</v>
      </c>
      <c r="F29" s="11">
        <v>8029.88</v>
      </c>
      <c r="G29" s="13"/>
      <c r="H29" s="13"/>
      <c r="I29" s="13"/>
      <c r="J29" s="13"/>
      <c r="K29" s="13">
        <v>6418.69</v>
      </c>
      <c r="L29" s="13">
        <f t="shared" ref="L29" si="2">J29+K29</f>
        <v>6418.69</v>
      </c>
      <c r="M29" s="4"/>
      <c r="N29" s="4"/>
      <c r="O29" s="4"/>
    </row>
    <row r="30" spans="1:15" x14ac:dyDescent="0.25">
      <c r="A30" s="8"/>
      <c r="B30" s="14" t="s">
        <v>78</v>
      </c>
      <c r="C30" s="8"/>
      <c r="D30" s="8"/>
      <c r="E30" s="8"/>
      <c r="F30" s="17"/>
      <c r="G30" s="13">
        <f t="shared" ref="G30:L30" si="3">SUM(G7:G29)</f>
        <v>2903.5639999999999</v>
      </c>
      <c r="H30" s="13">
        <f t="shared" si="3"/>
        <v>32095.841791999999</v>
      </c>
      <c r="I30" s="13">
        <f t="shared" si="3"/>
        <v>34999.405792000005</v>
      </c>
      <c r="J30" s="13">
        <f>SUM(J7:J29)</f>
        <v>24260.625565823997</v>
      </c>
      <c r="K30" s="13">
        <f t="shared" si="3"/>
        <v>16742.980279140942</v>
      </c>
      <c r="L30" s="13">
        <f t="shared" si="3"/>
        <v>41003.60584496495</v>
      </c>
      <c r="M30" s="4"/>
      <c r="N30" s="4"/>
      <c r="O30" s="4"/>
    </row>
    <row r="31" spans="1:15" x14ac:dyDescent="0.3">
      <c r="A31" s="3"/>
      <c r="B31" s="3"/>
      <c r="G31" s="5"/>
      <c r="H31" s="5"/>
      <c r="I31" s="18"/>
      <c r="J31" s="18"/>
      <c r="K31" s="18"/>
      <c r="L31" s="18"/>
      <c r="M31" s="18"/>
      <c r="N31" s="18"/>
      <c r="O31" s="18"/>
    </row>
    <row r="32" spans="1:15" ht="68.25" customHeight="1" x14ac:dyDescent="0.3">
      <c r="A32" s="3"/>
      <c r="B32" s="33" t="s">
        <v>85</v>
      </c>
      <c r="G32" s="5"/>
      <c r="H32" s="43" t="s">
        <v>86</v>
      </c>
      <c r="I32" s="43"/>
      <c r="J32" s="43"/>
      <c r="K32" s="18"/>
      <c r="L32" s="18"/>
      <c r="M32" s="18"/>
      <c r="N32" s="18"/>
      <c r="O32" s="18"/>
    </row>
    <row r="33" spans="2:15" ht="48.75" customHeight="1" x14ac:dyDescent="0.3">
      <c r="B33" s="44" t="s">
        <v>81</v>
      </c>
      <c r="C33" s="44"/>
      <c r="G33" s="34"/>
      <c r="H33" s="45" t="s">
        <v>80</v>
      </c>
      <c r="I33" s="45"/>
      <c r="J33" s="45"/>
      <c r="L33" s="5"/>
      <c r="O33" s="5"/>
    </row>
  </sheetData>
  <mergeCells count="13">
    <mergeCell ref="A3:A5"/>
    <mergeCell ref="B3:B5"/>
    <mergeCell ref="C3:E4"/>
    <mergeCell ref="F3:F5"/>
    <mergeCell ref="I1:L1"/>
    <mergeCell ref="B2:L2"/>
    <mergeCell ref="G3:I3"/>
    <mergeCell ref="J3:L3"/>
    <mergeCell ref="H33:J33"/>
    <mergeCell ref="H32:J32"/>
    <mergeCell ref="B33:C33"/>
    <mergeCell ref="G4:I4"/>
    <mergeCell ref="J4:L4"/>
  </mergeCells>
  <printOptions horizontalCentered="1"/>
  <pageMargins left="0.31496062992125984" right="0.31496062992125984" top="0.74803149606299213" bottom="0.35433070866141736" header="0" footer="0"/>
  <pageSetup paperSize="8" scale="4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Новая</vt:lpstr>
      <vt:lpstr>Старая</vt:lpstr>
      <vt:lpstr>Лист3</vt:lpstr>
      <vt:lpstr>Новая!Область_печати</vt:lpstr>
      <vt:lpstr>Старая!Область_печати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2021-08-18T05:30:59Z</dcterms:modified>
</cp:coreProperties>
</file>